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8916" windowHeight="6612" activeTab="0"/>
  </bookViews>
  <sheets>
    <sheet name="COPPER" sheetId="1" r:id="rId1"/>
  </sheets>
  <definedNames>
    <definedName name="solver_adj" localSheetId="0" hidden="1">'COPPER'!$B$10</definedName>
    <definedName name="solver_lhs1" localSheetId="0" hidden="1">'COPPER'!$B$10</definedName>
    <definedName name="solver_lin" localSheetId="0" hidden="1">0</definedName>
    <definedName name="solver_num" localSheetId="0" hidden="1">1</definedName>
    <definedName name="solver_opt" localSheetId="0" hidden="1">'COPPER'!$B$15</definedName>
    <definedName name="solver_rel1" localSheetId="0" hidden="1">1</definedName>
    <definedName name="solver_rhs1" localSheetId="0" hidden="1">11.5</definedName>
    <definedName name="solver_tmp" localSheetId="0" hidden="1">11.5</definedName>
    <definedName name="solver_typ" localSheetId="0" hidden="1">2</definedName>
    <definedName name="solver_val" localSheetId="0" hidden="1">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<sst xmlns="http://schemas.openxmlformats.org/spreadsheetml/2006/main" count="67" uniqueCount="61">
  <si>
    <t xml:space="preserve"> CALCULATION OF COPPER SOLUBILITY</t>
  </si>
  <si>
    <t>based on Snoeyink &amp; Jenkins, and Patterson</t>
  </si>
  <si>
    <t>Stevens Institute of Technology</t>
  </si>
  <si>
    <t>Hoboken, NJ 07030          June 1991</t>
  </si>
  <si>
    <t>pH</t>
  </si>
  <si>
    <t>TDS</t>
  </si>
  <si>
    <t>Alk</t>
  </si>
  <si>
    <t>Cu(II) (mg/L):</t>
  </si>
  <si>
    <t>Acidity (mgCaCO3/L)</t>
  </si>
  <si>
    <t>(H+)</t>
  </si>
  <si>
    <t>(OH-)</t>
  </si>
  <si>
    <t>(CO3=)</t>
  </si>
  <si>
    <t>(HCO3-)</t>
  </si>
  <si>
    <t>[H2CO3*]</t>
  </si>
  <si>
    <t>[CT]</t>
  </si>
  <si>
    <t>log(CT):</t>
  </si>
  <si>
    <t>mg/L TIC</t>
  </si>
  <si>
    <t>SPECIES</t>
  </si>
  <si>
    <t>Cu(OH)2</t>
  </si>
  <si>
    <t>Cu2(OH)2CO3</t>
  </si>
  <si>
    <t>Reference (see below)</t>
  </si>
  <si>
    <t>[Cu++]</t>
  </si>
  <si>
    <t>a</t>
  </si>
  <si>
    <t>[CuOH+]</t>
  </si>
  <si>
    <t>[Cu(OH)2]</t>
  </si>
  <si>
    <t>b</t>
  </si>
  <si>
    <t>[Cu(OH)3-]</t>
  </si>
  <si>
    <t>[Cu(OH)4--]</t>
  </si>
  <si>
    <t>[CuCO3]</t>
  </si>
  <si>
    <t>[Cu(CO3)2--]</t>
  </si>
  <si>
    <t>log[Cu total]</t>
  </si>
  <si>
    <t>Cu (mg/l)</t>
  </si>
  <si>
    <t>Gamma 0</t>
  </si>
  <si>
    <t>Alpha 0</t>
  </si>
  <si>
    <t>Gamma 1</t>
  </si>
  <si>
    <t>Alpha 1</t>
  </si>
  <si>
    <t>Gamma 2</t>
  </si>
  <si>
    <t>Alpha 2</t>
  </si>
  <si>
    <t>Gamma 3</t>
  </si>
  <si>
    <t>Gamma 4</t>
  </si>
  <si>
    <t>I</t>
  </si>
  <si>
    <t>Davies</t>
  </si>
  <si>
    <t>Ref. a:  Complex ion stability constants obtained from</t>
  </si>
  <si>
    <t xml:space="preserve">             Snoeyink &amp; Jenkins, "Water Chemistry"</t>
  </si>
  <si>
    <t>Ref. b:  Stability constants computed from solubility constants in:</t>
  </si>
  <si>
    <t xml:space="preserve">             Patterson, J.W. "Effect of Carbonate Ion on Precipitation . . ."</t>
  </si>
  <si>
    <t xml:space="preserve">             30th Annual Purdue Ind. Waste Conf., May 8 1975</t>
  </si>
  <si>
    <t xml:space="preserve">              and</t>
  </si>
  <si>
    <t xml:space="preserve">             Patterson, Allen &amp; Scala, JWPCF 49, 12, 2397 (1977).</t>
  </si>
  <si>
    <t xml:space="preserve">             </t>
  </si>
  <si>
    <t>mg/L as CaCO3</t>
  </si>
  <si>
    <t>Dept. of Civil, Environmental, and Ocean Engg.</t>
  </si>
  <si>
    <t>mg/L</t>
  </si>
  <si>
    <t>INPUTS:</t>
  </si>
  <si>
    <t>SOLUBILITY:</t>
  </si>
  <si>
    <t>MM CaCO3</t>
  </si>
  <si>
    <t>mg/mmol</t>
  </si>
  <si>
    <t>Updated 2015</t>
  </si>
  <si>
    <t>meq/mmol</t>
  </si>
  <si>
    <t>CT formula corrected 2015 with more accurate MM for CaCO3</t>
  </si>
  <si>
    <t>David A. Vaccari, Ph.D., P.E., BCEE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</si>
</sst>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"/>
  </numFmts>
  <fonts count="40">
    <font>
      <sz val="10"/>
      <name val="Courier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sz val="10"/>
      <color indexed="12"/>
      <name val="Courier"/>
      <family val="3"/>
    </font>
    <font>
      <b/>
      <sz val="10"/>
      <name val="Courier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11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 applyProtection="1">
      <alignment horizontal="left"/>
      <protection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 horizontal="left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 applyProtection="1">
      <alignment horizontal="left"/>
      <protection/>
    </xf>
    <xf numFmtId="0" fontId="0" fillId="0" borderId="13" xfId="0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15" xfId="0" applyBorder="1" applyAlignment="1">
      <alignment horizontal="right"/>
    </xf>
    <xf numFmtId="11" fontId="0" fillId="0" borderId="15" xfId="0" applyNumberFormat="1" applyBorder="1" applyAlignment="1" applyProtection="1">
      <alignment horizontal="right"/>
      <protection/>
    </xf>
    <xf numFmtId="165" fontId="0" fillId="0" borderId="16" xfId="0" applyNumberFormat="1" applyBorder="1" applyAlignment="1" applyProtection="1">
      <alignment/>
      <protection/>
    </xf>
    <xf numFmtId="0" fontId="0" fillId="0" borderId="17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right"/>
      <protection/>
    </xf>
    <xf numFmtId="164" fontId="0" fillId="0" borderId="11" xfId="0" applyNumberFormat="1" applyBorder="1" applyAlignment="1" applyProtection="1">
      <alignment/>
      <protection/>
    </xf>
    <xf numFmtId="0" fontId="0" fillId="0" borderId="13" xfId="0" applyBorder="1" applyAlignment="1" applyProtection="1">
      <alignment horizontal="right"/>
      <protection/>
    </xf>
    <xf numFmtId="11" fontId="0" fillId="0" borderId="0" xfId="0" applyNumberFormat="1" applyBorder="1" applyAlignment="1" applyProtection="1">
      <alignment/>
      <protection/>
    </xf>
    <xf numFmtId="0" fontId="0" fillId="0" borderId="15" xfId="0" applyBorder="1" applyAlignment="1" applyProtection="1">
      <alignment horizontal="right"/>
      <protection/>
    </xf>
    <xf numFmtId="11" fontId="0" fillId="0" borderId="16" xfId="0" applyNumberFormat="1" applyBorder="1" applyAlignment="1" applyProtection="1">
      <alignment/>
      <protection/>
    </xf>
    <xf numFmtId="0" fontId="0" fillId="0" borderId="16" xfId="0" applyBorder="1" applyAlignment="1" applyProtection="1">
      <alignment horizontal="right"/>
      <protection/>
    </xf>
    <xf numFmtId="2" fontId="0" fillId="0" borderId="16" xfId="0" applyNumberFormat="1" applyBorder="1" applyAlignment="1" applyProtection="1">
      <alignment/>
      <protection/>
    </xf>
    <xf numFmtId="164" fontId="0" fillId="0" borderId="16" xfId="0" applyNumberFormat="1" applyBorder="1" applyAlignment="1">
      <alignment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3" xfId="0" applyBorder="1" applyAlignment="1" applyProtection="1">
      <alignment horizontal="left"/>
      <protection/>
    </xf>
    <xf numFmtId="11" fontId="0" fillId="0" borderId="0" xfId="0" applyNumberFormat="1" applyBorder="1" applyAlignment="1" applyProtection="1">
      <alignment horizontal="center"/>
      <protection/>
    </xf>
    <xf numFmtId="2" fontId="0" fillId="0" borderId="14" xfId="0" applyNumberFormat="1" applyBorder="1" applyAlignment="1" applyProtection="1">
      <alignment/>
      <protection/>
    </xf>
    <xf numFmtId="0" fontId="0" fillId="0" borderId="15" xfId="0" applyBorder="1" applyAlignment="1" applyProtection="1">
      <alignment horizontal="left"/>
      <protection/>
    </xf>
    <xf numFmtId="11" fontId="0" fillId="0" borderId="14" xfId="0" applyNumberForma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166" fontId="0" fillId="0" borderId="17" xfId="0" applyNumberFormat="1" applyBorder="1" applyAlignment="1" applyProtection="1">
      <alignment/>
      <protection/>
    </xf>
    <xf numFmtId="166" fontId="0" fillId="0" borderId="0" xfId="0" applyNumberFormat="1" applyBorder="1" applyAlignment="1" applyProtection="1">
      <alignment/>
      <protection/>
    </xf>
    <xf numFmtId="166" fontId="0" fillId="0" borderId="11" xfId="0" applyNumberFormat="1" applyBorder="1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165" fontId="0" fillId="0" borderId="12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165" fontId="0" fillId="0" borderId="14" xfId="0" applyNumberForma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67" fontId="0" fillId="0" borderId="0" xfId="0" applyNumberFormat="1" applyBorder="1" applyAlignment="1" applyProtection="1">
      <alignment/>
      <protection/>
    </xf>
    <xf numFmtId="166" fontId="0" fillId="0" borderId="16" xfId="0" applyNumberFormat="1" applyBorder="1" applyAlignment="1" applyProtection="1">
      <alignment/>
      <protection/>
    </xf>
    <xf numFmtId="165" fontId="0" fillId="0" borderId="0" xfId="0" applyNumberFormat="1" applyAlignment="1">
      <alignment/>
    </xf>
    <xf numFmtId="11" fontId="0" fillId="0" borderId="0" xfId="0" applyNumberFormat="1" applyFont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 applyProtection="1">
      <alignment horizontal="left"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GridLines="0" tabSelected="1" zoomScalePageLayoutView="0" workbookViewId="0" topLeftCell="A1">
      <selection activeCell="A2" sqref="A2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4.375" style="0" customWidth="1"/>
    <col min="4" max="5" width="11.625" style="0" customWidth="1"/>
    <col min="9" max="9" width="10.00390625" style="0" bestFit="1" customWidth="1"/>
  </cols>
  <sheetData>
    <row r="1" spans="1:5" ht="12">
      <c r="A1" s="6" t="s">
        <v>0</v>
      </c>
      <c r="B1" s="7"/>
      <c r="C1" s="7"/>
      <c r="D1" s="7"/>
      <c r="E1" s="8"/>
    </row>
    <row r="2" spans="1:5" ht="12">
      <c r="A2" s="9"/>
      <c r="B2" s="10" t="s">
        <v>1</v>
      </c>
      <c r="C2" s="11"/>
      <c r="D2" s="11"/>
      <c r="E2" s="12"/>
    </row>
    <row r="3" spans="1:5" ht="12">
      <c r="A3" s="9"/>
      <c r="B3" s="60" t="s">
        <v>60</v>
      </c>
      <c r="C3" s="11"/>
      <c r="D3" s="11"/>
      <c r="E3" s="12"/>
    </row>
    <row r="4" spans="1:5" ht="12">
      <c r="A4" s="9"/>
      <c r="B4" s="13" t="s">
        <v>51</v>
      </c>
      <c r="C4" s="11"/>
      <c r="D4" s="11"/>
      <c r="E4" s="12"/>
    </row>
    <row r="5" spans="1:5" ht="12">
      <c r="A5" s="9"/>
      <c r="B5" s="13" t="s">
        <v>2</v>
      </c>
      <c r="C5" s="11"/>
      <c r="D5" s="11"/>
      <c r="E5" s="12"/>
    </row>
    <row r="6" spans="1:5" ht="12">
      <c r="A6" s="9"/>
      <c r="B6" s="13" t="s">
        <v>3</v>
      </c>
      <c r="C6" s="11"/>
      <c r="D6" s="11"/>
      <c r="E6" s="12"/>
    </row>
    <row r="7" spans="1:5" ht="12">
      <c r="A7" s="14"/>
      <c r="B7" s="15"/>
      <c r="C7" s="16"/>
      <c r="D7" s="56" t="s">
        <v>57</v>
      </c>
      <c r="E7" s="17"/>
    </row>
    <row r="8" spans="1:5" ht="12">
      <c r="A8" s="11"/>
      <c r="B8" s="13"/>
      <c r="C8" s="11"/>
      <c r="D8" s="11"/>
      <c r="E8" s="11"/>
    </row>
    <row r="9" spans="1:5" ht="12">
      <c r="A9" s="18" t="s">
        <v>53</v>
      </c>
      <c r="B9" s="19"/>
      <c r="C9" s="8"/>
      <c r="D9" s="11"/>
      <c r="E9" s="11"/>
    </row>
    <row r="10" spans="1:3" ht="12">
      <c r="A10" s="20" t="s">
        <v>4</v>
      </c>
      <c r="B10" s="21">
        <v>8.5</v>
      </c>
      <c r="C10" s="12"/>
    </row>
    <row r="11" spans="1:3" ht="12">
      <c r="A11" s="20" t="s">
        <v>5</v>
      </c>
      <c r="B11" s="11">
        <v>500</v>
      </c>
      <c r="C11" s="12" t="s">
        <v>52</v>
      </c>
    </row>
    <row r="12" spans="1:3" ht="12">
      <c r="A12" s="22" t="s">
        <v>6</v>
      </c>
      <c r="B12" s="16">
        <v>200</v>
      </c>
      <c r="C12" s="17" t="s">
        <v>50</v>
      </c>
    </row>
    <row r="14" spans="1:3" ht="12">
      <c r="A14" s="18" t="s">
        <v>54</v>
      </c>
      <c r="B14" s="7"/>
      <c r="C14" s="8"/>
    </row>
    <row r="15" spans="1:9" ht="12">
      <c r="A15" s="23" t="s">
        <v>7</v>
      </c>
      <c r="B15" s="24">
        <f>MIN(B35,C35)</f>
        <v>0.20348479875994913</v>
      </c>
      <c r="C15" s="25" t="s">
        <v>52</v>
      </c>
      <c r="I15" s="54"/>
    </row>
    <row r="17" spans="1:9" ht="12">
      <c r="A17" s="26" t="s">
        <v>8</v>
      </c>
      <c r="B17" s="27">
        <f>100000*(B18/B38+B21/B38+2*B22-B19/B38)</f>
        <v>392.9668083727106</v>
      </c>
      <c r="C17" s="7"/>
      <c r="D17" s="7"/>
      <c r="E17" s="7"/>
      <c r="F17" s="8"/>
      <c r="I17" s="54"/>
    </row>
    <row r="18" spans="1:9" ht="12">
      <c r="A18" s="28" t="s">
        <v>9</v>
      </c>
      <c r="B18" s="29">
        <f>10^(-$B$10)</f>
        <v>3.162277660168378E-09</v>
      </c>
      <c r="C18" s="11"/>
      <c r="D18" s="11"/>
      <c r="E18" s="11"/>
      <c r="F18" s="12"/>
      <c r="I18" s="54"/>
    </row>
    <row r="19" spans="1:9" ht="12">
      <c r="A19" s="28" t="s">
        <v>10</v>
      </c>
      <c r="B19" s="29">
        <f>10^($B$10-14)</f>
        <v>3.1622776601683767E-06</v>
      </c>
      <c r="C19" s="11"/>
      <c r="D19" s="11"/>
      <c r="E19" s="11"/>
      <c r="F19" s="12"/>
      <c r="I19" s="54"/>
    </row>
    <row r="20" spans="1:9" ht="12">
      <c r="A20" s="28" t="s">
        <v>11</v>
      </c>
      <c r="B20" s="29">
        <f>$B$39*$B$23*$D$39</f>
        <v>3.640387614052412E-05</v>
      </c>
      <c r="C20" s="29"/>
      <c r="D20" s="11"/>
      <c r="E20" s="11"/>
      <c r="F20" s="12"/>
      <c r="I20" s="54"/>
    </row>
    <row r="21" spans="1:9" ht="12">
      <c r="A21" s="28" t="s">
        <v>12</v>
      </c>
      <c r="B21" s="29">
        <f>$B$38*$B$23*$D$38</f>
        <v>0.0034615255860569955</v>
      </c>
      <c r="C21" s="11"/>
      <c r="D21" s="11"/>
      <c r="E21" s="11"/>
      <c r="F21" s="12"/>
      <c r="I21" s="54"/>
    </row>
    <row r="22" spans="1:9" ht="12">
      <c r="A22" s="28" t="s">
        <v>13</v>
      </c>
      <c r="B22" s="29">
        <f>B23*D37</f>
        <v>2.7456226700956045E-05</v>
      </c>
      <c r="C22" s="11"/>
      <c r="D22" s="11"/>
      <c r="E22" s="11"/>
      <c r="F22" s="12"/>
      <c r="I22" s="54"/>
    </row>
    <row r="23" spans="1:8" ht="12">
      <c r="A23" s="30" t="s">
        <v>14</v>
      </c>
      <c r="B23" s="31">
        <f>(B12/F39/1000-B19/B38+B18/B38)/(D38+2*D39)</f>
        <v>0.003963115519792533</v>
      </c>
      <c r="C23" s="32" t="s">
        <v>15</v>
      </c>
      <c r="D23" s="33">
        <f>LOG(B23)</f>
        <v>-2.401963268347806</v>
      </c>
      <c r="E23" s="34">
        <f>B23*12000</f>
        <v>47.5573862375104</v>
      </c>
      <c r="F23" s="17" t="s">
        <v>16</v>
      </c>
      <c r="H23" s="55" t="s">
        <v>59</v>
      </c>
    </row>
    <row r="24" spans="1:8" ht="12">
      <c r="A24" s="2"/>
      <c r="B24" s="3"/>
      <c r="C24" s="2"/>
      <c r="D24" s="4"/>
      <c r="E24" s="5"/>
      <c r="H24" s="3"/>
    </row>
    <row r="25" spans="1:5" ht="12">
      <c r="A25" s="35" t="s">
        <v>17</v>
      </c>
      <c r="B25" s="36" t="s">
        <v>18</v>
      </c>
      <c r="C25" s="19" t="s">
        <v>19</v>
      </c>
      <c r="D25" s="37" t="s">
        <v>20</v>
      </c>
      <c r="E25" s="8"/>
    </row>
    <row r="26" spans="1:5" ht="12">
      <c r="A26" s="38" t="s">
        <v>21</v>
      </c>
      <c r="B26" s="29">
        <f>10^(-19.3)/$B$19/$B$19/$B$39</f>
        <v>7.897565272815547E-09</v>
      </c>
      <c r="C26" s="29">
        <f>SQRT(10^-31.99/$B$19^2/$B$20)/$B$39</f>
        <v>8.354479736102459E-09</v>
      </c>
      <c r="D26" s="39" t="s">
        <v>22</v>
      </c>
      <c r="E26" s="40"/>
    </row>
    <row r="27" spans="1:5" ht="12">
      <c r="A27" s="38" t="s">
        <v>23</v>
      </c>
      <c r="B27" s="29">
        <f>10^(8)*B$26*$B$39*$B$19/$B$38</f>
        <v>1.7757151744982745E-06</v>
      </c>
      <c r="C27" s="29">
        <f>10^(8)*C$26*$B$39*$B$19/$B$38</f>
        <v>1.8784493612860783E-06</v>
      </c>
      <c r="D27" s="39" t="s">
        <v>22</v>
      </c>
      <c r="E27" s="40"/>
    </row>
    <row r="28" spans="1:5" ht="12">
      <c r="A28" s="38" t="s">
        <v>24</v>
      </c>
      <c r="B28" s="29">
        <f>10^(19.08-6.28)*B$26*$B$39*$B$19^2/$B$37</f>
        <v>3.1170947235800866E-07</v>
      </c>
      <c r="C28" s="29">
        <f>10^(19.08-6.28)*C$26*$B$39*$B$19^2/$B$37</f>
        <v>3.297434564206855E-07</v>
      </c>
      <c r="D28" s="39" t="s">
        <v>25</v>
      </c>
      <c r="E28" s="40"/>
    </row>
    <row r="29" spans="1:5" ht="12">
      <c r="A29" s="38" t="s">
        <v>26</v>
      </c>
      <c r="B29" s="29">
        <f>10^(15.2)*B$26*$B$39*$B$19^3/$B$38</f>
        <v>2.81431889181222E-10</v>
      </c>
      <c r="C29" s="29">
        <f>10^(15.2)*C$26*$B$39*$B$19^3/$B$38</f>
        <v>2.977141605085239E-10</v>
      </c>
      <c r="D29" s="39" t="s">
        <v>22</v>
      </c>
      <c r="E29" s="40"/>
    </row>
    <row r="30" spans="1:5" ht="12">
      <c r="A30" s="38" t="s">
        <v>27</v>
      </c>
      <c r="B30" s="29">
        <f>10^(16.1)*B$26*$B$39*$B$19^4/$B$39</f>
        <v>9.94244561325069E-15</v>
      </c>
      <c r="C30" s="29">
        <f>10^(16.1)*C$26*$B$39*$B$19^4/$B$39</f>
        <v>1.051766684209888E-14</v>
      </c>
      <c r="D30" s="39" t="s">
        <v>22</v>
      </c>
      <c r="E30" s="40"/>
    </row>
    <row r="31" spans="1:5" ht="12">
      <c r="A31" s="38" t="s">
        <v>28</v>
      </c>
      <c r="B31" s="29">
        <f>10^((9.5+3.99)/2)*B$26*$B$39*$B$20/$B$37</f>
        <v>9.997643076931912E-07</v>
      </c>
      <c r="C31" s="29">
        <f>10^((9.5+3.99)/2)*C$26*$B$39*$B$20/$B$37</f>
        <v>1.0576057760803453E-06</v>
      </c>
      <c r="D31" s="39" t="s">
        <v>25</v>
      </c>
      <c r="E31" s="40"/>
    </row>
    <row r="32" spans="1:5" ht="12">
      <c r="A32" s="38" t="s">
        <v>29</v>
      </c>
      <c r="B32" s="29">
        <f>10^((16.03+3.99)/2)*B$26*$B$39*$B$20^2/$B$39</f>
        <v>1.0709975568868826E-07</v>
      </c>
      <c r="C32" s="29">
        <f>10^((16.03+3.99)/2)*C$26*$B$39*$B$20^2/$B$39</f>
        <v>1.1329602323421883E-07</v>
      </c>
      <c r="D32" s="39" t="s">
        <v>25</v>
      </c>
      <c r="E32" s="40"/>
    </row>
    <row r="33" spans="1:5" ht="12">
      <c r="A33" s="9"/>
      <c r="B33" s="29"/>
      <c r="C33" s="29"/>
      <c r="D33" s="29"/>
      <c r="E33" s="42"/>
    </row>
    <row r="34" spans="1:5" ht="12">
      <c r="A34" s="38" t="s">
        <v>30</v>
      </c>
      <c r="B34" s="43">
        <f>LOG(SUM(B26:B33))</f>
        <v>-5.494515239491358</v>
      </c>
      <c r="C34" s="43">
        <f>LOG(SUM(C26:C33))</f>
        <v>-5.470089053524915</v>
      </c>
      <c r="D34" s="43"/>
      <c r="E34" s="40"/>
    </row>
    <row r="35" spans="1:5" ht="12">
      <c r="A35" s="41" t="s">
        <v>31</v>
      </c>
      <c r="B35" s="24">
        <f>SUM(B26:B33)*63540</f>
        <v>0.20348479875994913</v>
      </c>
      <c r="C35" s="24">
        <f>SUM(C26:C33)*63540</f>
        <v>0.21525743303401842</v>
      </c>
      <c r="D35" s="31"/>
      <c r="E35" s="44"/>
    </row>
    <row r="37" spans="1:7" ht="12">
      <c r="A37" s="26" t="s">
        <v>32</v>
      </c>
      <c r="B37" s="46">
        <f>10^(0.5*$B$42)</f>
        <v>1.0144952080687362</v>
      </c>
      <c r="C37" s="47" t="s">
        <v>33</v>
      </c>
      <c r="D37" s="48">
        <f>$B$18*$B$18/($B$18*$B$18+$B$18*10^(-6.35)+10^(-6.35-10.33))</f>
        <v>0.0069279400420791575</v>
      </c>
      <c r="F37" s="57" t="s">
        <v>55</v>
      </c>
      <c r="G37" s="8"/>
    </row>
    <row r="38" spans="1:7" ht="12">
      <c r="A38" s="28" t="s">
        <v>34</v>
      </c>
      <c r="B38" s="45">
        <f>10^$B$43</f>
        <v>0.8925379560992442</v>
      </c>
      <c r="C38" s="49" t="s">
        <v>35</v>
      </c>
      <c r="D38" s="50">
        <f>10^-6.35*$B$18/($B$18*$B$18+$B$18*10^(-6.35)+10^(-6.35-10.33))</f>
        <v>0.9785975416332162</v>
      </c>
      <c r="F38" s="9">
        <f>40.078+12.011+3*15.999</f>
        <v>100.086</v>
      </c>
      <c r="G38" s="59" t="s">
        <v>56</v>
      </c>
    </row>
    <row r="39" spans="1:7" ht="12">
      <c r="A39" s="28" t="s">
        <v>36</v>
      </c>
      <c r="B39" s="45">
        <f>10^(4*$B$43)</f>
        <v>0.6346098022797245</v>
      </c>
      <c r="C39" s="49" t="s">
        <v>37</v>
      </c>
      <c r="D39" s="50">
        <f>10^(-6.35-10.33)/($B$18*$B$18+$B$18*10^(-6.35)+10^(-6.35-10.33))</f>
        <v>0.014474518324704708</v>
      </c>
      <c r="F39" s="14">
        <f>F38/2</f>
        <v>50.043</v>
      </c>
      <c r="G39" s="58" t="s">
        <v>58</v>
      </c>
    </row>
    <row r="40" spans="1:4" ht="12">
      <c r="A40" s="28" t="s">
        <v>38</v>
      </c>
      <c r="B40" s="45">
        <f>10^(9*$B$43)</f>
        <v>0.3594514550706484</v>
      </c>
      <c r="C40" s="11"/>
      <c r="D40" s="51">
        <f>SUM(D37:D39)</f>
        <v>1.0000000000000002</v>
      </c>
    </row>
    <row r="41" spans="1:4" ht="12">
      <c r="A41" s="28" t="s">
        <v>39</v>
      </c>
      <c r="B41" s="45">
        <f>10^(16*$B$43)</f>
        <v>0.16219113164204427</v>
      </c>
      <c r="C41" s="11"/>
      <c r="D41" s="12"/>
    </row>
    <row r="42" spans="1:4" ht="12">
      <c r="A42" s="28" t="s">
        <v>40</v>
      </c>
      <c r="B42" s="52">
        <f>0.000025*$B$11</f>
        <v>0.0125</v>
      </c>
      <c r="C42" s="11"/>
      <c r="D42" s="12"/>
    </row>
    <row r="43" spans="1:4" ht="12">
      <c r="A43" s="30" t="s">
        <v>41</v>
      </c>
      <c r="B43" s="53">
        <f>-0.51*(1/(1+1/SQRT($B$42))-0.3*$B$42)</f>
        <v>-0.049373306001260386</v>
      </c>
      <c r="C43" s="16"/>
      <c r="D43" s="17"/>
    </row>
    <row r="45" ht="12">
      <c r="A45" s="1" t="s">
        <v>42</v>
      </c>
    </row>
    <row r="46" ht="12">
      <c r="A46" s="1" t="s">
        <v>43</v>
      </c>
    </row>
    <row r="47" ht="12">
      <c r="A47" s="1" t="s">
        <v>44</v>
      </c>
    </row>
    <row r="48" ht="12">
      <c r="A48" s="1" t="s">
        <v>45</v>
      </c>
    </row>
    <row r="49" ht="12">
      <c r="A49" s="1" t="s">
        <v>46</v>
      </c>
    </row>
    <row r="50" ht="12">
      <c r="A50" s="1" t="s">
        <v>47</v>
      </c>
    </row>
    <row r="51" ht="12">
      <c r="A51" s="1" t="s">
        <v>48</v>
      </c>
    </row>
    <row r="52" ht="12">
      <c r="A52" s="1" t="s">
        <v>49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Vaccari</cp:lastModifiedBy>
  <dcterms:modified xsi:type="dcterms:W3CDTF">2015-09-03T17:44:46Z</dcterms:modified>
  <cp:category/>
  <cp:version/>
  <cp:contentType/>
  <cp:contentStatus/>
</cp:coreProperties>
</file>